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odel" sheetId="1" r:id="rId1"/>
    <sheet name="Gevoeligheidsanalyse" sheetId="2" r:id="rId2"/>
  </sheets>
  <definedNames>
    <definedName name="Aanschaf">Model!$E$3</definedName>
    <definedName name="Basis">Gevoeligheidsanalyse!$H$2</definedName>
    <definedName name="Delta">Gevoeligheidsanalyse!$B$3</definedName>
    <definedName name="Discontovoet">Model!$N$3</definedName>
    <definedName name="Eprijs">Model!$J$3</definedName>
    <definedName name="Onderhoud">Model!$E$4</definedName>
    <definedName name="OnderhoudTrend">Model!$J$5</definedName>
    <definedName name="PrijsTrend">Model!$J$4</definedName>
    <definedName name="Productie">Model!$E$5</definedName>
    <definedName name="Termijn">Model!$N$4</definedName>
  </definedNames>
  <calcPr calcId="145621"/>
</workbook>
</file>

<file path=xl/calcChain.xml><?xml version="1.0" encoding="utf-8"?>
<calcChain xmlns="http://schemas.openxmlformats.org/spreadsheetml/2006/main">
  <c r="D10" i="2" l="1"/>
  <c r="B10" i="2"/>
  <c r="O5" i="2"/>
  <c r="N5" i="2"/>
  <c r="M5" i="2"/>
  <c r="L5" i="2"/>
  <c r="O13" i="2"/>
  <c r="O7" i="2"/>
  <c r="O8" i="2"/>
  <c r="O9" i="2"/>
  <c r="O10" i="2"/>
  <c r="O11" i="2"/>
  <c r="O12" i="2"/>
  <c r="O6" i="2"/>
  <c r="L7" i="2"/>
  <c r="L8" i="2"/>
  <c r="L9" i="2"/>
  <c r="L10" i="2"/>
  <c r="L11" i="2"/>
  <c r="L12" i="2"/>
  <c r="L13" i="2"/>
  <c r="L6" i="2"/>
  <c r="H7" i="2"/>
  <c r="H8" i="2"/>
  <c r="H9" i="2"/>
  <c r="H10" i="2"/>
  <c r="H11" i="2"/>
  <c r="H12" i="2"/>
  <c r="H13" i="2"/>
  <c r="H6" i="2"/>
  <c r="D13" i="2"/>
  <c r="B13" i="2"/>
  <c r="M10" i="2"/>
  <c r="N8" i="2"/>
  <c r="N7" i="2"/>
  <c r="D7" i="2"/>
  <c r="D8" i="2"/>
  <c r="D9" i="2"/>
  <c r="D11" i="2"/>
  <c r="D12" i="2"/>
  <c r="B7" i="2"/>
  <c r="B8" i="2"/>
  <c r="B9" i="2"/>
  <c r="B11" i="2"/>
  <c r="B12" i="2"/>
  <c r="D6" i="2"/>
  <c r="B6" i="2"/>
  <c r="M7" i="2"/>
  <c r="M8" i="2"/>
  <c r="M9" i="2"/>
  <c r="N9" i="2"/>
  <c r="N10" i="2"/>
  <c r="N11" i="2"/>
  <c r="M12" i="2"/>
  <c r="N12" i="2"/>
  <c r="M13" i="2"/>
  <c r="N13" i="2"/>
  <c r="M6" i="2"/>
  <c r="D5" i="2"/>
  <c r="B5" i="2"/>
  <c r="D10" i="1"/>
  <c r="C11" i="1"/>
  <c r="C13" i="1"/>
  <c r="D13" i="1"/>
  <c r="D15" i="1"/>
  <c r="D16" i="1"/>
  <c r="D18" i="1"/>
  <c r="C19" i="1"/>
  <c r="D20" i="1"/>
  <c r="C21" i="1"/>
  <c r="D22" i="1"/>
  <c r="C23" i="1"/>
  <c r="D9" i="1"/>
  <c r="C9" i="1"/>
  <c r="B10" i="1"/>
  <c r="B11" i="1"/>
  <c r="B14" i="1"/>
  <c r="B15" i="1"/>
  <c r="B18" i="1"/>
  <c r="B19" i="1"/>
  <c r="B22" i="1"/>
  <c r="B23" i="1"/>
  <c r="B8" i="1"/>
  <c r="C8" i="1"/>
  <c r="E8" i="1" s="1"/>
  <c r="A24" i="1"/>
  <c r="A25" i="1" s="1"/>
  <c r="A26" i="1" s="1"/>
  <c r="A27" i="1" s="1"/>
  <c r="A28" i="1" s="1"/>
  <c r="A29" i="1" s="1"/>
  <c r="A30" i="1" s="1"/>
  <c r="A31" i="1" s="1"/>
  <c r="C31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D23" i="1" s="1"/>
  <c r="A9" i="1"/>
  <c r="B9" i="1" s="1"/>
  <c r="B27" i="1" l="1"/>
  <c r="C27" i="1"/>
  <c r="A32" i="1"/>
  <c r="B30" i="1"/>
  <c r="B26" i="1"/>
  <c r="D28" i="1"/>
  <c r="D24" i="1"/>
  <c r="B28" i="1"/>
  <c r="B24" i="1"/>
  <c r="B20" i="1"/>
  <c r="B16" i="1"/>
  <c r="B12" i="1"/>
  <c r="D31" i="1"/>
  <c r="D29" i="1"/>
  <c r="D27" i="1"/>
  <c r="E27" i="1" s="1"/>
  <c r="F27" i="1" s="1"/>
  <c r="D25" i="1"/>
  <c r="E25" i="1" s="1"/>
  <c r="F25" i="1" s="1"/>
  <c r="D21" i="1"/>
  <c r="D19" i="1"/>
  <c r="C17" i="1"/>
  <c r="E17" i="1" s="1"/>
  <c r="F17" i="1" s="1"/>
  <c r="D14" i="1"/>
  <c r="D11" i="1"/>
  <c r="E11" i="1" s="1"/>
  <c r="F11" i="1" s="1"/>
  <c r="B31" i="1"/>
  <c r="C29" i="1"/>
  <c r="C25" i="1"/>
  <c r="D30" i="1"/>
  <c r="D26" i="1"/>
  <c r="B29" i="1"/>
  <c r="B25" i="1"/>
  <c r="B21" i="1"/>
  <c r="B17" i="1"/>
  <c r="B13" i="1"/>
  <c r="C30" i="1"/>
  <c r="C28" i="1"/>
  <c r="C26" i="1"/>
  <c r="C24" i="1"/>
  <c r="C22" i="1"/>
  <c r="C20" i="1"/>
  <c r="D17" i="1"/>
  <c r="C15" i="1"/>
  <c r="D12" i="1"/>
  <c r="C10" i="1"/>
  <c r="E10" i="1" s="1"/>
  <c r="F10" i="1" s="1"/>
  <c r="M11" i="2"/>
  <c r="N6" i="2"/>
  <c r="F8" i="1"/>
  <c r="G8" i="1" s="1"/>
  <c r="C18" i="1"/>
  <c r="E18" i="1" s="1"/>
  <c r="F18" i="1" s="1"/>
  <c r="C16" i="1"/>
  <c r="E16" i="1" s="1"/>
  <c r="F16" i="1" s="1"/>
  <c r="C14" i="1"/>
  <c r="C12" i="1"/>
  <c r="E29" i="1"/>
  <c r="F29" i="1" s="1"/>
  <c r="E21" i="1"/>
  <c r="F21" i="1" s="1"/>
  <c r="E31" i="1"/>
  <c r="F31" i="1" s="1"/>
  <c r="E23" i="1"/>
  <c r="F23" i="1" s="1"/>
  <c r="E19" i="1"/>
  <c r="F19" i="1" s="1"/>
  <c r="E9" i="1"/>
  <c r="F9" i="1" s="1"/>
  <c r="E15" i="1"/>
  <c r="F15" i="1" s="1"/>
  <c r="E13" i="1"/>
  <c r="F13" i="1" s="1"/>
  <c r="E30" i="1"/>
  <c r="F30" i="1" s="1"/>
  <c r="E28" i="1"/>
  <c r="E26" i="1"/>
  <c r="F26" i="1" s="1"/>
  <c r="E24" i="1"/>
  <c r="F24" i="1" s="1"/>
  <c r="E22" i="1"/>
  <c r="F22" i="1" s="1"/>
  <c r="E20" i="1"/>
  <c r="F20" i="1" s="1"/>
  <c r="A33" i="1" l="1"/>
  <c r="C32" i="1"/>
  <c r="B32" i="1"/>
  <c r="D32" i="1"/>
  <c r="E32" i="1" s="1"/>
  <c r="F32" i="1" s="1"/>
  <c r="E12" i="1"/>
  <c r="F12" i="1" s="1"/>
  <c r="F28" i="1"/>
  <c r="E14" i="1"/>
  <c r="F14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M7" i="1" l="1"/>
  <c r="A34" i="1"/>
  <c r="B33" i="1"/>
  <c r="D33" i="1"/>
  <c r="C33" i="1"/>
  <c r="G21" i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E33" i="1" l="1"/>
  <c r="F33" i="1" s="1"/>
  <c r="G33" i="1" s="1"/>
  <c r="A35" i="1"/>
  <c r="C34" i="1"/>
  <c r="D34" i="1"/>
  <c r="B34" i="1"/>
  <c r="J7" i="1"/>
  <c r="G34" i="1" l="1"/>
  <c r="A36" i="1"/>
  <c r="C35" i="1"/>
  <c r="D35" i="1"/>
  <c r="E35" i="1" s="1"/>
  <c r="B35" i="1"/>
  <c r="E34" i="1"/>
  <c r="F34" i="1" s="1"/>
  <c r="F35" i="1" l="1"/>
  <c r="G35" i="1" s="1"/>
  <c r="G36" i="1" s="1"/>
  <c r="A37" i="1"/>
  <c r="C36" i="1"/>
  <c r="B36" i="1"/>
  <c r="D36" i="1"/>
  <c r="E36" i="1" s="1"/>
  <c r="F36" i="1" s="1"/>
  <c r="A38" i="1" l="1"/>
  <c r="B37" i="1"/>
  <c r="D37" i="1"/>
  <c r="C37" i="1"/>
  <c r="E37" i="1" l="1"/>
  <c r="F37" i="1" s="1"/>
  <c r="G37" i="1" s="1"/>
  <c r="A39" i="1"/>
  <c r="C38" i="1"/>
  <c r="D38" i="1"/>
  <c r="E38" i="1" s="1"/>
  <c r="F38" i="1" s="1"/>
  <c r="B38" i="1"/>
  <c r="A40" i="1" l="1"/>
  <c r="C39" i="1"/>
  <c r="B39" i="1"/>
  <c r="D39" i="1"/>
  <c r="E39" i="1" s="1"/>
  <c r="F39" i="1" s="1"/>
  <c r="G38" i="1"/>
  <c r="G39" i="1" s="1"/>
  <c r="C40" i="1" l="1"/>
  <c r="B40" i="1"/>
  <c r="D40" i="1"/>
  <c r="E40" i="1" s="1"/>
  <c r="F40" i="1" s="1"/>
  <c r="G40" i="1" s="1"/>
  <c r="A41" i="1"/>
  <c r="B41" i="1" l="1"/>
  <c r="D41" i="1"/>
  <c r="A42" i="1"/>
  <c r="C41" i="1"/>
  <c r="C42" i="1" l="1"/>
  <c r="A43" i="1"/>
  <c r="D42" i="1"/>
  <c r="E42" i="1" s="1"/>
  <c r="F42" i="1" s="1"/>
  <c r="B42" i="1"/>
  <c r="E41" i="1"/>
  <c r="F41" i="1" s="1"/>
  <c r="G41" i="1" s="1"/>
  <c r="A44" i="1" l="1"/>
  <c r="C43" i="1"/>
  <c r="D43" i="1"/>
  <c r="E43" i="1" s="1"/>
  <c r="F43" i="1" s="1"/>
  <c r="B43" i="1"/>
  <c r="G42" i="1"/>
  <c r="G43" i="1" l="1"/>
  <c r="A45" i="1"/>
  <c r="C44" i="1"/>
  <c r="B44" i="1"/>
  <c r="D44" i="1"/>
  <c r="E44" i="1" s="1"/>
  <c r="A46" i="1" l="1"/>
  <c r="B45" i="1"/>
  <c r="D45" i="1"/>
  <c r="C45" i="1"/>
  <c r="F44" i="1"/>
  <c r="G44" i="1" s="1"/>
  <c r="A47" i="1" l="1"/>
  <c r="C46" i="1"/>
  <c r="D46" i="1"/>
  <c r="E46" i="1" s="1"/>
  <c r="F46" i="1" s="1"/>
  <c r="B46" i="1"/>
  <c r="E45" i="1"/>
  <c r="F45" i="1" s="1"/>
  <c r="G45" i="1" s="1"/>
  <c r="G46" i="1" s="1"/>
  <c r="A48" i="1" l="1"/>
  <c r="B47" i="1"/>
  <c r="D47" i="1"/>
  <c r="E47" i="1" s="1"/>
  <c r="F47" i="1" s="1"/>
  <c r="G47" i="1" s="1"/>
  <c r="C47" i="1"/>
  <c r="C48" i="1" l="1"/>
  <c r="B48" i="1"/>
  <c r="D48" i="1"/>
  <c r="E48" i="1" s="1"/>
  <c r="F48" i="1" s="1"/>
  <c r="G48" i="1" s="1"/>
</calcChain>
</file>

<file path=xl/sharedStrings.xml><?xml version="1.0" encoding="utf-8"?>
<sst xmlns="http://schemas.openxmlformats.org/spreadsheetml/2006/main" count="38" uniqueCount="37">
  <si>
    <t>Voorbeeld van een NCW-berekening</t>
  </si>
  <si>
    <t>Cash out</t>
  </si>
  <si>
    <t>Onderhoud (% van aanschafkosten)</t>
  </si>
  <si>
    <t>Effectieve productie [MWh per jaar]</t>
  </si>
  <si>
    <t>Discontovoet</t>
  </si>
  <si>
    <t>Termijn</t>
  </si>
  <si>
    <t>E-prijs [€/kWh]</t>
  </si>
  <si>
    <t>Cash in</t>
  </si>
  <si>
    <r>
      <t>(1+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t</t>
    </r>
  </si>
  <si>
    <t>Cash flow</t>
  </si>
  <si>
    <t>Discounted</t>
  </si>
  <si>
    <t>t [jaar]</t>
  </si>
  <si>
    <r>
      <t xml:space="preserve">Discontovoet </t>
    </r>
    <r>
      <rPr>
        <i/>
        <sz val="11"/>
        <color theme="1"/>
        <rFont val="Calibri"/>
        <family val="2"/>
        <scheme val="minor"/>
      </rPr>
      <t>r</t>
    </r>
  </si>
  <si>
    <t>Termijn [jaar]</t>
  </si>
  <si>
    <t>Trend in E-prijs [€/jaar]</t>
  </si>
  <si>
    <t>Cumulatief</t>
  </si>
  <si>
    <t>Trend in onderhoud [%-punt/jaar]</t>
  </si>
  <si>
    <t>IRR =</t>
  </si>
  <si>
    <t>Gevoeligheidsanalyse</t>
  </si>
  <si>
    <t>Aanschafkosten</t>
  </si>
  <si>
    <t>Verandering:</t>
  </si>
  <si>
    <t>Onderhoud</t>
  </si>
  <si>
    <t>Productie</t>
  </si>
  <si>
    <t>E-prijs</t>
  </si>
  <si>
    <t>Prijstrend</t>
  </si>
  <si>
    <t>Onderhoudtrend</t>
  </si>
  <si>
    <t>Variabele</t>
  </si>
  <si>
    <t>Basiswaarde:</t>
  </si>
  <si>
    <t>Nieuwe waarden</t>
  </si>
  <si>
    <t>Verandering</t>
  </si>
  <si>
    <t>Basis</t>
  </si>
  <si>
    <t>+10%</t>
  </si>
  <si>
    <t>+20%</t>
  </si>
  <si>
    <t>Aanschafkosten windturbine [k€]</t>
  </si>
  <si>
    <t xml:space="preserve">N.B. Bovenstaande tabel diende als hulpmiddel om te bepalen </t>
  </si>
  <si>
    <t xml:space="preserve">          welke invoerwaarden corresponderen met ±10% en ±20%</t>
  </si>
  <si>
    <t>NCW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</si>
</sst>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8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2" borderId="1" xfId="0" applyFill="1" applyBorder="1"/>
    <xf numFmtId="0" fontId="0" fillId="2" borderId="1" xfId="0" applyFont="1" applyFill="1" applyBorder="1"/>
    <xf numFmtId="165" fontId="0" fillId="0" borderId="0" xfId="0" applyNumberFormat="1"/>
    <xf numFmtId="1" fontId="0" fillId="0" borderId="0" xfId="0" applyNumberFormat="1"/>
    <xf numFmtId="1" fontId="0" fillId="3" borderId="0" xfId="0" applyNumberFormat="1" applyFill="1"/>
    <xf numFmtId="0" fontId="2" fillId="5" borderId="0" xfId="0" applyFont="1" applyFill="1" applyAlignment="1">
      <alignment horizontal="right"/>
    </xf>
    <xf numFmtId="1" fontId="2" fillId="4" borderId="0" xfId="0" applyNumberFormat="1" applyFont="1" applyFill="1"/>
    <xf numFmtId="9" fontId="6" fillId="2" borderId="2" xfId="1" applyFont="1" applyFill="1" applyBorder="1"/>
    <xf numFmtId="0" fontId="0" fillId="0" borderId="0" xfId="0" applyFont="1" applyAlignment="1"/>
    <xf numFmtId="0" fontId="2" fillId="6" borderId="0" xfId="0" applyFont="1" applyFill="1"/>
    <xf numFmtId="9" fontId="2" fillId="6" borderId="0" xfId="0" applyNumberFormat="1" applyFont="1" applyFill="1"/>
    <xf numFmtId="9" fontId="0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0" fontId="0" fillId="2" borderId="1" xfId="1" applyNumberFormat="1" applyFont="1" applyFill="1" applyBorder="1"/>
    <xf numFmtId="0" fontId="2" fillId="6" borderId="0" xfId="0" applyFont="1" applyFill="1" applyAlignment="1">
      <alignment horizontal="right"/>
    </xf>
    <xf numFmtId="10" fontId="0" fillId="0" borderId="0" xfId="1" applyNumberFormat="1" applyFont="1"/>
    <xf numFmtId="165" fontId="0" fillId="2" borderId="1" xfId="0" applyNumberFormat="1" applyFill="1" applyBorder="1"/>
    <xf numFmtId="9" fontId="2" fillId="3" borderId="0" xfId="0" applyNumberFormat="1" applyFont="1" applyFill="1" applyAlignment="1">
      <alignment horizontal="right"/>
    </xf>
    <xf numFmtId="9" fontId="2" fillId="3" borderId="0" xfId="0" quotePrefix="1" applyNumberFormat="1" applyFont="1" applyFill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2" fillId="3" borderId="6" xfId="0" applyNumberFormat="1" applyFont="1" applyFill="1" applyBorder="1"/>
    <xf numFmtId="9" fontId="2" fillId="3" borderId="0" xfId="0" applyNumberFormat="1" applyFont="1" applyFill="1" applyBorder="1"/>
    <xf numFmtId="9" fontId="2" fillId="3" borderId="0" xfId="0" applyNumberFormat="1" applyFont="1" applyFill="1" applyBorder="1" applyAlignment="1">
      <alignment horizontal="right"/>
    </xf>
    <xf numFmtId="9" fontId="2" fillId="3" borderId="7" xfId="0" applyNumberFormat="1" applyFont="1" applyFill="1" applyBorder="1" applyAlignment="1">
      <alignment horizontal="right"/>
    </xf>
    <xf numFmtId="9" fontId="0" fillId="0" borderId="6" xfId="1" applyFont="1" applyBorder="1"/>
    <xf numFmtId="9" fontId="0" fillId="0" borderId="0" xfId="1" applyFont="1" applyBorder="1"/>
    <xf numFmtId="9" fontId="0" fillId="0" borderId="7" xfId="1" applyFont="1" applyBorder="1"/>
    <xf numFmtId="9" fontId="0" fillId="0" borderId="8" xfId="1" applyFont="1" applyBorder="1"/>
    <xf numFmtId="9" fontId="0" fillId="0" borderId="9" xfId="1" applyFont="1" applyBorder="1"/>
    <xf numFmtId="9" fontId="0" fillId="0" borderId="10" xfId="1" applyFont="1" applyBorder="1"/>
    <xf numFmtId="168" fontId="2" fillId="4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NCW als functie van termijn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Model!$A$8:$A$48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Model!$G$8:$G$48</c:f>
              <c:numCache>
                <c:formatCode>0</c:formatCode>
                <c:ptCount val="41"/>
                <c:pt idx="0" formatCode="General">
                  <c:v>-2500</c:v>
                </c:pt>
                <c:pt idx="1">
                  <c:v>-2143.867924528302</c:v>
                </c:pt>
                <c:pt idx="2">
                  <c:v>-1812.3442506229976</c:v>
                </c:pt>
                <c:pt idx="3">
                  <c:v>-1503.7841641086268</c:v>
                </c:pt>
                <c:pt idx="4">
                  <c:v>-1216.6502111848445</c:v>
                </c:pt>
                <c:pt idx="5">
                  <c:v>-949.50541438522907</c:v>
                </c:pt>
                <c:pt idx="6">
                  <c:v>-701.00682388024313</c:v>
                </c:pt>
                <c:pt idx="7">
                  <c:v>-469.89947689648136</c:v>
                </c:pt>
                <c:pt idx="8">
                  <c:v>-255.01073971190576</c:v>
                </c:pt>
                <c:pt idx="9">
                  <c:v>-55.245008270522277</c:v>
                </c:pt>
                <c:pt idx="10">
                  <c:v>130.42125505375444</c:v>
                </c:pt>
                <c:pt idx="11">
                  <c:v>302.94416961951021</c:v>
                </c:pt>
                <c:pt idx="12">
                  <c:v>463.21678937309287</c:v>
                </c:pt>
                <c:pt idx="13">
                  <c:v>612.07317893507184</c:v>
                </c:pt>
                <c:pt idx="14">
                  <c:v>750.29223030371963</c:v>
                </c:pt>
                <c:pt idx="15">
                  <c:v>878.60123647989826</c:v>
                </c:pt>
                <c:pt idx="16">
                  <c:v>997.67923730301243</c:v>
                </c:pt>
                <c:pt idx="17">
                  <c:v>1108.1601518356069</c:v>
                </c:pt>
                <c:pt idx="18">
                  <c:v>1210.6357107408992</c:v>
                </c:pt>
                <c:pt idx="19">
                  <c:v>1305.6582012594333</c:v>
                </c:pt>
                <c:pt idx="20">
                  <c:v>1393.7430366047522</c:v>
                </c:pt>
                <c:pt idx="21">
                  <c:v>1475.3711608603073</c:v>
                </c:pt>
                <c:pt idx="22">
                  <c:v>1550.9912997677993</c:v>
                </c:pt>
                <c:pt idx="23">
                  <c:v>1621.0220671479417</c:v>
                </c:pt>
                <c:pt idx="24">
                  <c:v>1685.8539360856505</c:v>
                </c:pt>
                <c:pt idx="25">
                  <c:v>1745.8510834404035</c:v>
                </c:pt>
                <c:pt idx="26">
                  <c:v>1801.3531157066616</c:v>
                </c:pt>
                <c:pt idx="27">
                  <c:v>1852.676683746635</c:v>
                </c:pt>
                <c:pt idx="28">
                  <c:v>1900.1169934462482</c:v>
                </c:pt>
                <c:pt idx="29">
                  <c:v>1943.9492189030004</c:v>
                </c:pt>
                <c:pt idx="30">
                  <c:v>1984.4298243397229</c:v>
                </c:pt>
                <c:pt idx="31">
                  <c:v>2021.7978005493167</c:v>
                </c:pt>
                <c:pt idx="32">
                  <c:v>2056.2758213108118</c:v>
                </c:pt>
                <c:pt idx="33">
                  <c:v>2088.0713248750485</c:v>
                </c:pt>
                <c:pt idx="34">
                  <c:v>2117.3775252975179</c:v>
                </c:pt>
                <c:pt idx="35">
                  <c:v>2144.3743580951309</c:v>
                </c:pt>
                <c:pt idx="36">
                  <c:v>2169.2293644216447</c:v>
                </c:pt>
                <c:pt idx="37">
                  <c:v>2192.0985176920217</c:v>
                </c:pt>
                <c:pt idx="38">
                  <c:v>2213.1269963380573</c:v>
                </c:pt>
                <c:pt idx="39">
                  <c:v>2232.4499061451229</c:v>
                </c:pt>
                <c:pt idx="40">
                  <c:v>2250.1929554019252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40480"/>
        <c:axId val="75142272"/>
      </c:lineChart>
      <c:catAx>
        <c:axId val="751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142272"/>
        <c:crosses val="autoZero"/>
        <c:auto val="1"/>
        <c:lblAlgn val="ctr"/>
        <c:lblOffset val="100"/>
        <c:tickLblSkip val="5"/>
        <c:noMultiLvlLbl val="0"/>
      </c:catAx>
      <c:valAx>
        <c:axId val="7514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140480"/>
        <c:crossesAt val="1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sz="1500"/>
              <a:t>Gevoeligheid</a:t>
            </a:r>
            <a:r>
              <a:rPr lang="nl-NL" sz="1500" baseline="0"/>
              <a:t> van NCW  per  invoervariabele</a:t>
            </a:r>
            <a:endParaRPr lang="nl-NL" sz="15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Gevoeligheidsanalyse!$A$6</c:f>
              <c:strCache>
                <c:ptCount val="1"/>
                <c:pt idx="0">
                  <c:v>Aanschafkosten</c:v>
                </c:pt>
              </c:strCache>
            </c:strRef>
          </c:tx>
          <c:marker>
            <c:symbol val="none"/>
          </c:marker>
          <c:cat>
            <c:strRef>
              <c:f>Gevoeligheidsanalyse!$F$5:$J$5</c:f>
              <c:strCache>
                <c:ptCount val="5"/>
                <c:pt idx="0">
                  <c:v>-20%</c:v>
                </c:pt>
                <c:pt idx="1">
                  <c:v>-10%</c:v>
                </c:pt>
                <c:pt idx="2">
                  <c:v>Basis</c:v>
                </c:pt>
                <c:pt idx="3">
                  <c:v>+10%</c:v>
                </c:pt>
                <c:pt idx="4">
                  <c:v>+20%</c:v>
                </c:pt>
              </c:strCache>
            </c:strRef>
          </c:cat>
          <c:val>
            <c:numRef>
              <c:f>Gevoeligheidsanalyse!$F$6:$J$6</c:f>
              <c:numCache>
                <c:formatCode>0</c:formatCode>
                <c:ptCount val="5"/>
                <c:pt idx="0">
                  <c:v>1074.8163224906732</c:v>
                </c:pt>
                <c:pt idx="1">
                  <c:v>769.01655593188298</c:v>
                </c:pt>
                <c:pt idx="2">
                  <c:v>463.21678937309287</c:v>
                </c:pt>
                <c:pt idx="3">
                  <c:v>157.41702281430312</c:v>
                </c:pt>
                <c:pt idx="4">
                  <c:v>-148.38274374448667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Gevoeligheidsanalyse!$A$7</c:f>
              <c:strCache>
                <c:ptCount val="1"/>
                <c:pt idx="0">
                  <c:v>Onderhoud</c:v>
                </c:pt>
              </c:strCache>
            </c:strRef>
          </c:tx>
          <c:marker>
            <c:symbol val="none"/>
          </c:marker>
          <c:cat>
            <c:strRef>
              <c:f>Gevoeligheidsanalyse!$F$5:$J$5</c:f>
              <c:strCache>
                <c:ptCount val="5"/>
                <c:pt idx="0">
                  <c:v>-20%</c:v>
                </c:pt>
                <c:pt idx="1">
                  <c:v>-10%</c:v>
                </c:pt>
                <c:pt idx="2">
                  <c:v>Basis</c:v>
                </c:pt>
                <c:pt idx="3">
                  <c:v>+10%</c:v>
                </c:pt>
                <c:pt idx="4">
                  <c:v>+20%</c:v>
                </c:pt>
              </c:strCache>
            </c:strRef>
          </c:cat>
          <c:val>
            <c:numRef>
              <c:f>Gevoeligheidsanalyse!$F$7:$J$7</c:f>
              <c:numCache>
                <c:formatCode>0</c:formatCode>
                <c:ptCount val="5"/>
                <c:pt idx="0">
                  <c:v>526.09561892596787</c:v>
                </c:pt>
                <c:pt idx="1">
                  <c:v>494.65620414953094</c:v>
                </c:pt>
                <c:pt idx="2">
                  <c:v>463.21678937309287</c:v>
                </c:pt>
                <c:pt idx="3">
                  <c:v>431.7773745966557</c:v>
                </c:pt>
                <c:pt idx="4">
                  <c:v>400.33795982021832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Gevoeligheidsanalyse!$A$8</c:f>
              <c:strCache>
                <c:ptCount val="1"/>
                <c:pt idx="0">
                  <c:v>Productie</c:v>
                </c:pt>
              </c:strCache>
            </c:strRef>
          </c:tx>
          <c:marker>
            <c:symbol val="none"/>
          </c:marker>
          <c:cat>
            <c:strRef>
              <c:f>Gevoeligheidsanalyse!$F$5:$J$5</c:f>
              <c:strCache>
                <c:ptCount val="5"/>
                <c:pt idx="0">
                  <c:v>-20%</c:v>
                </c:pt>
                <c:pt idx="1">
                  <c:v>-10%</c:v>
                </c:pt>
                <c:pt idx="2">
                  <c:v>Basis</c:v>
                </c:pt>
                <c:pt idx="3">
                  <c:v>+10%</c:v>
                </c:pt>
                <c:pt idx="4">
                  <c:v>+20%</c:v>
                </c:pt>
              </c:strCache>
            </c:strRef>
          </c:cat>
          <c:val>
            <c:numRef>
              <c:f>Gevoeligheidsanalyse!$F$8:$J$8</c:f>
              <c:numCache>
                <c:formatCode>0</c:formatCode>
                <c:ptCount val="5"/>
                <c:pt idx="0">
                  <c:v>-241.02610161910548</c:v>
                </c:pt>
                <c:pt idx="1">
                  <c:v>111.09534387699381</c:v>
                </c:pt>
                <c:pt idx="2">
                  <c:v>463.21678937309287</c:v>
                </c:pt>
                <c:pt idx="3">
                  <c:v>815.33823486919277</c:v>
                </c:pt>
                <c:pt idx="4">
                  <c:v>1167.4596803652919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Gevoeligheidsanalyse!$A$9</c:f>
              <c:strCache>
                <c:ptCount val="1"/>
                <c:pt idx="0">
                  <c:v>E-prijs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Gevoeligheidsanalyse!$F$5:$J$5</c:f>
              <c:strCache>
                <c:ptCount val="5"/>
                <c:pt idx="0">
                  <c:v>-20%</c:v>
                </c:pt>
                <c:pt idx="1">
                  <c:v>-10%</c:v>
                </c:pt>
                <c:pt idx="2">
                  <c:v>Basis</c:v>
                </c:pt>
                <c:pt idx="3">
                  <c:v>+10%</c:v>
                </c:pt>
                <c:pt idx="4">
                  <c:v>+20%</c:v>
                </c:pt>
              </c:strCache>
            </c:strRef>
          </c:cat>
          <c:val>
            <c:numRef>
              <c:f>Gevoeligheidsanalyse!$F$9:$J$9</c:f>
              <c:numCache>
                <c:formatCode>0</c:formatCode>
                <c:ptCount val="5"/>
                <c:pt idx="0">
                  <c:v>-241.02610161910582</c:v>
                </c:pt>
                <c:pt idx="1">
                  <c:v>111.09534387699355</c:v>
                </c:pt>
                <c:pt idx="2">
                  <c:v>463.21678937309287</c:v>
                </c:pt>
                <c:pt idx="3">
                  <c:v>815.33823486919209</c:v>
                </c:pt>
                <c:pt idx="4">
                  <c:v>1167.4596803652919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Gevoeligheidsanalyse!$A$10</c:f>
              <c:strCache>
                <c:ptCount val="1"/>
                <c:pt idx="0">
                  <c:v>Prijstrend</c:v>
                </c:pt>
              </c:strCache>
            </c:strRef>
          </c:tx>
          <c:marker>
            <c:symbol val="none"/>
          </c:marker>
          <c:cat>
            <c:strRef>
              <c:f>Gevoeligheidsanalyse!$F$5:$J$5</c:f>
              <c:strCache>
                <c:ptCount val="5"/>
                <c:pt idx="0">
                  <c:v>-20%</c:v>
                </c:pt>
                <c:pt idx="1">
                  <c:v>-10%</c:v>
                </c:pt>
                <c:pt idx="2">
                  <c:v>Basis</c:v>
                </c:pt>
                <c:pt idx="3">
                  <c:v>+10%</c:v>
                </c:pt>
                <c:pt idx="4">
                  <c:v>+20%</c:v>
                </c:pt>
              </c:strCache>
            </c:strRef>
          </c:cat>
          <c:val>
            <c:numRef>
              <c:f>Gevoeligheidsanalyse!$F$10:$J$10</c:f>
              <c:numCache>
                <c:formatCode>0</c:formatCode>
                <c:ptCount val="5"/>
                <c:pt idx="0">
                  <c:v>-121.43165340336795</c:v>
                </c:pt>
                <c:pt idx="1">
                  <c:v>170.89256798486264</c:v>
                </c:pt>
                <c:pt idx="2">
                  <c:v>463.21678937309287</c:v>
                </c:pt>
                <c:pt idx="3">
                  <c:v>755.54101076132406</c:v>
                </c:pt>
                <c:pt idx="4">
                  <c:v>1047.8652321495547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Gevoeligheidsanalyse!$A$11</c:f>
              <c:strCache>
                <c:ptCount val="1"/>
                <c:pt idx="0">
                  <c:v>Onderhoudtrend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Gevoeligheidsanalyse!$F$5:$J$5</c:f>
              <c:strCache>
                <c:ptCount val="5"/>
                <c:pt idx="0">
                  <c:v>-20%</c:v>
                </c:pt>
                <c:pt idx="1">
                  <c:v>-10%</c:v>
                </c:pt>
                <c:pt idx="2">
                  <c:v>Basis</c:v>
                </c:pt>
                <c:pt idx="3">
                  <c:v>+10%</c:v>
                </c:pt>
                <c:pt idx="4">
                  <c:v>+20%</c:v>
                </c:pt>
              </c:strCache>
            </c:strRef>
          </c:cat>
          <c:val>
            <c:numRef>
              <c:f>Gevoeligheidsanalyse!$F$11:$J$11</c:f>
              <c:numCache>
                <c:formatCode>0</c:formatCode>
                <c:ptCount val="5"/>
                <c:pt idx="0">
                  <c:v>511.93749293779831</c:v>
                </c:pt>
                <c:pt idx="1">
                  <c:v>487.57714115544599</c:v>
                </c:pt>
                <c:pt idx="2">
                  <c:v>463.21678937309287</c:v>
                </c:pt>
                <c:pt idx="3">
                  <c:v>438.85643759074077</c:v>
                </c:pt>
                <c:pt idx="4">
                  <c:v>414.4960858083881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Gevoeligheidsanalyse!$A$12</c:f>
              <c:strCache>
                <c:ptCount val="1"/>
                <c:pt idx="0">
                  <c:v>Discontovoet</c:v>
                </c:pt>
              </c:strCache>
            </c:strRef>
          </c:tx>
          <c:marker>
            <c:symbol val="none"/>
          </c:marker>
          <c:cat>
            <c:strRef>
              <c:f>Gevoeligheidsanalyse!$F$5:$J$5</c:f>
              <c:strCache>
                <c:ptCount val="5"/>
                <c:pt idx="0">
                  <c:v>-20%</c:v>
                </c:pt>
                <c:pt idx="1">
                  <c:v>-10%</c:v>
                </c:pt>
                <c:pt idx="2">
                  <c:v>Basis</c:v>
                </c:pt>
                <c:pt idx="3">
                  <c:v>+10%</c:v>
                </c:pt>
                <c:pt idx="4">
                  <c:v>+20%</c:v>
                </c:pt>
              </c:strCache>
            </c:strRef>
          </c:cat>
          <c:val>
            <c:numRef>
              <c:f>Gevoeligheidsanalyse!$F$12:$J$12</c:f>
              <c:numCache>
                <c:formatCode>0</c:formatCode>
                <c:ptCount val="5"/>
                <c:pt idx="0">
                  <c:v>662.33723296603875</c:v>
                </c:pt>
                <c:pt idx="1">
                  <c:v>560.30335028104764</c:v>
                </c:pt>
                <c:pt idx="2">
                  <c:v>463.21678937309287</c:v>
                </c:pt>
                <c:pt idx="3">
                  <c:v>370.78375449604499</c:v>
                </c:pt>
                <c:pt idx="4">
                  <c:v>282.73041010841291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Gevoeligheidsanalyse!$A$13</c:f>
              <c:strCache>
                <c:ptCount val="1"/>
                <c:pt idx="0">
                  <c:v>Termijn</c:v>
                </c:pt>
              </c:strCache>
            </c:strRef>
          </c:tx>
          <c:marker>
            <c:symbol val="none"/>
          </c:marker>
          <c:cat>
            <c:strRef>
              <c:f>Gevoeligheidsanalyse!$F$5:$J$5</c:f>
              <c:strCache>
                <c:ptCount val="5"/>
                <c:pt idx="0">
                  <c:v>-20%</c:v>
                </c:pt>
                <c:pt idx="1">
                  <c:v>-10%</c:v>
                </c:pt>
                <c:pt idx="2">
                  <c:v>Basis</c:v>
                </c:pt>
                <c:pt idx="3">
                  <c:v>+10%</c:v>
                </c:pt>
                <c:pt idx="4">
                  <c:v>+20%</c:v>
                </c:pt>
              </c:strCache>
            </c:strRef>
          </c:cat>
          <c:val>
            <c:numRef>
              <c:f>Gevoeligheidsanalyse!$F$13:$J$13</c:f>
              <c:numCache>
                <c:formatCode>0</c:formatCode>
                <c:ptCount val="5"/>
                <c:pt idx="0">
                  <c:v>130.42125505375444</c:v>
                </c:pt>
                <c:pt idx="1">
                  <c:v>302.94416961951021</c:v>
                </c:pt>
                <c:pt idx="2">
                  <c:v>463.21678937309287</c:v>
                </c:pt>
                <c:pt idx="3">
                  <c:v>612.07317893507184</c:v>
                </c:pt>
                <c:pt idx="4">
                  <c:v>750.29223030371963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97888"/>
        <c:axId val="184199424"/>
      </c:lineChart>
      <c:catAx>
        <c:axId val="18419788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84199424"/>
        <c:crosses val="autoZero"/>
        <c:auto val="1"/>
        <c:lblAlgn val="ctr"/>
        <c:lblOffset val="100"/>
        <c:noMultiLvlLbl val="0"/>
      </c:catAx>
      <c:valAx>
        <c:axId val="184199424"/>
        <c:scaling>
          <c:orientation val="minMax"/>
          <c:max val="1200"/>
          <c:min val="-30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NCW [</a:t>
                </a:r>
                <a:r>
                  <a:rPr lang="en-US" b="0"/>
                  <a:t>x1000€</a:t>
                </a:r>
                <a:r>
                  <a:rPr lang="en-US"/>
                  <a:t>]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2474303732866724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84197888"/>
        <c:crossesAt val="3"/>
        <c:crossBetween val="midCat"/>
        <c:majorUnit val="3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8</xdr:row>
      <xdr:rowOff>23812</xdr:rowOff>
    </xdr:from>
    <xdr:to>
      <xdr:col>15</xdr:col>
      <xdr:colOff>314325</xdr:colOff>
      <xdr:row>22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600075</xdr:colOff>
      <xdr:row>3</xdr:row>
      <xdr:rowOff>0</xdr:rowOff>
    </xdr:from>
    <xdr:to>
      <xdr:col>23</xdr:col>
      <xdr:colOff>295275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E3" sqref="E3"/>
    </sheetView>
  </sheetViews>
  <sheetFormatPr defaultRowHeight="15" x14ac:dyDescent="0.25"/>
  <cols>
    <col min="1" max="1" width="6.85546875" customWidth="1"/>
    <col min="6" max="6" width="11" bestFit="1" customWidth="1"/>
    <col min="7" max="7" width="11" customWidth="1"/>
    <col min="9" max="9" width="11.5703125" customWidth="1"/>
    <col min="10" max="10" width="10.5703125" bestFit="1" customWidth="1"/>
  </cols>
  <sheetData>
    <row r="1" spans="1:14" ht="18.75" x14ac:dyDescent="0.3">
      <c r="A1" s="1" t="s">
        <v>0</v>
      </c>
    </row>
    <row r="2" spans="1:14" x14ac:dyDescent="0.25">
      <c r="A2" s="2"/>
    </row>
    <row r="3" spans="1:14" x14ac:dyDescent="0.25">
      <c r="A3" s="3" t="s">
        <v>33</v>
      </c>
      <c r="E3" s="4">
        <v>2500</v>
      </c>
      <c r="G3" t="s">
        <v>6</v>
      </c>
      <c r="J3" s="21">
        <v>7.0000000000000007E-2</v>
      </c>
      <c r="L3" t="s">
        <v>12</v>
      </c>
      <c r="N3" s="4">
        <v>0.06</v>
      </c>
    </row>
    <row r="4" spans="1:14" x14ac:dyDescent="0.25">
      <c r="A4" s="3" t="s">
        <v>2</v>
      </c>
      <c r="E4" s="18">
        <v>1.4999999999999999E-2</v>
      </c>
      <c r="G4" t="s">
        <v>14</v>
      </c>
      <c r="J4" s="21">
        <v>0</v>
      </c>
      <c r="L4" t="s">
        <v>13</v>
      </c>
      <c r="N4" s="4">
        <v>12</v>
      </c>
    </row>
    <row r="5" spans="1:14" s="3" customFormat="1" x14ac:dyDescent="0.25">
      <c r="A5" s="3" t="s">
        <v>3</v>
      </c>
      <c r="E5" s="5">
        <v>6000</v>
      </c>
      <c r="G5" s="3" t="s">
        <v>16</v>
      </c>
      <c r="J5" s="18">
        <v>2E-3</v>
      </c>
    </row>
    <row r="7" spans="1:14" ht="17.25" x14ac:dyDescent="0.25">
      <c r="A7" t="s">
        <v>11</v>
      </c>
      <c r="B7" t="s">
        <v>8</v>
      </c>
      <c r="C7" t="s">
        <v>1</v>
      </c>
      <c r="D7" t="s">
        <v>7</v>
      </c>
      <c r="E7" t="s">
        <v>9</v>
      </c>
      <c r="F7" t="s">
        <v>10</v>
      </c>
      <c r="G7" t="s">
        <v>15</v>
      </c>
      <c r="I7" s="9" t="s">
        <v>36</v>
      </c>
      <c r="J7" s="10">
        <f ca="1">OFFSET(G8,Termijn,0)</f>
        <v>463.21678937309287</v>
      </c>
      <c r="L7" s="9" t="s">
        <v>17</v>
      </c>
      <c r="M7" s="37">
        <f ca="1">IRR(OFFSET(E8,0,0,Termijn+1,1))</f>
        <v>9.3453154446634823E-2</v>
      </c>
    </row>
    <row r="8" spans="1:14" x14ac:dyDescent="0.25">
      <c r="A8">
        <v>0</v>
      </c>
      <c r="B8" s="6">
        <f>(1+Discontovoet)^A8</f>
        <v>1</v>
      </c>
      <c r="C8">
        <f>Aanschaf</f>
        <v>2500</v>
      </c>
      <c r="D8">
        <v>0</v>
      </c>
      <c r="E8">
        <f>D8-C8</f>
        <v>-2500</v>
      </c>
      <c r="F8">
        <f>E8/B8</f>
        <v>-2500</v>
      </c>
      <c r="G8">
        <f>F8</f>
        <v>-2500</v>
      </c>
    </row>
    <row r="9" spans="1:14" x14ac:dyDescent="0.25">
      <c r="A9">
        <f>A8+1</f>
        <v>1</v>
      </c>
      <c r="B9" s="6">
        <f>(1+Discontovoet)^A9</f>
        <v>1.06</v>
      </c>
      <c r="C9" s="7">
        <f>Aanschaf*(Onderhoud+A9*OnderhoudTrend)</f>
        <v>42.5</v>
      </c>
      <c r="D9" s="7">
        <f>Productie*(Eprijs+PrijsTrend*A9)</f>
        <v>420.00000000000006</v>
      </c>
      <c r="E9" s="7">
        <f>D9-C9</f>
        <v>377.50000000000006</v>
      </c>
      <c r="F9" s="7">
        <f>E9/B9</f>
        <v>356.13207547169816</v>
      </c>
      <c r="G9" s="7">
        <f>F9+G8</f>
        <v>-2143.867924528302</v>
      </c>
    </row>
    <row r="10" spans="1:14" x14ac:dyDescent="0.25">
      <c r="A10">
        <f t="shared" ref="A10:A48" si="0">A9+1</f>
        <v>2</v>
      </c>
      <c r="B10" s="6">
        <f>(1+Discontovoet)^A10</f>
        <v>1.1236000000000002</v>
      </c>
      <c r="C10" s="7">
        <f>Aanschaf*(Onderhoud+A10*OnderhoudTrend)</f>
        <v>47.5</v>
      </c>
      <c r="D10" s="7">
        <f>Productie*(Eprijs+PrijsTrend*A10)</f>
        <v>420.00000000000006</v>
      </c>
      <c r="E10" s="7">
        <f t="shared" ref="E10:E15" si="1">D10-C10</f>
        <v>372.50000000000006</v>
      </c>
      <c r="F10" s="7">
        <f t="shared" ref="F10:F15" si="2">E10/B10</f>
        <v>331.52367390530441</v>
      </c>
      <c r="G10" s="7">
        <f t="shared" ref="G10:G48" si="3">F10+G9</f>
        <v>-1812.3442506229976</v>
      </c>
    </row>
    <row r="11" spans="1:14" x14ac:dyDescent="0.25">
      <c r="A11">
        <f t="shared" si="0"/>
        <v>3</v>
      </c>
      <c r="B11" s="6">
        <f>(1+Discontovoet)^A11</f>
        <v>1.1910160000000003</v>
      </c>
      <c r="C11" s="7">
        <f>Aanschaf*(Onderhoud+A11*OnderhoudTrend)</f>
        <v>52.499999999999993</v>
      </c>
      <c r="D11" s="7">
        <f>Productie*(Eprijs+PrijsTrend*A11)</f>
        <v>420.00000000000006</v>
      </c>
      <c r="E11" s="7">
        <f t="shared" si="1"/>
        <v>367.50000000000006</v>
      </c>
      <c r="F11" s="7">
        <f t="shared" si="2"/>
        <v>308.56008651437088</v>
      </c>
      <c r="G11" s="7">
        <f t="shared" si="3"/>
        <v>-1503.7841641086268</v>
      </c>
    </row>
    <row r="12" spans="1:14" x14ac:dyDescent="0.25">
      <c r="A12">
        <f t="shared" si="0"/>
        <v>4</v>
      </c>
      <c r="B12" s="6">
        <f>(1+Discontovoet)^A12</f>
        <v>1.2624769600000003</v>
      </c>
      <c r="C12" s="7">
        <f>Aanschaf*(Onderhoud+A12*OnderhoudTrend)</f>
        <v>57.5</v>
      </c>
      <c r="D12" s="7">
        <f>Productie*(Eprijs+PrijsTrend*A12)</f>
        <v>420.00000000000006</v>
      </c>
      <c r="E12" s="7">
        <f t="shared" si="1"/>
        <v>362.50000000000006</v>
      </c>
      <c r="F12" s="7">
        <f t="shared" si="2"/>
        <v>287.13395292378243</v>
      </c>
      <c r="G12" s="7">
        <f t="shared" si="3"/>
        <v>-1216.6502111848445</v>
      </c>
    </row>
    <row r="13" spans="1:14" x14ac:dyDescent="0.25">
      <c r="A13">
        <f t="shared" si="0"/>
        <v>5</v>
      </c>
      <c r="B13" s="6">
        <f>(1+Discontovoet)^A13</f>
        <v>1.3382255776000005</v>
      </c>
      <c r="C13" s="7">
        <f>Aanschaf*(Onderhoud+A13*OnderhoudTrend)</f>
        <v>62.5</v>
      </c>
      <c r="D13" s="7">
        <f>Productie*(Eprijs+PrijsTrend*A13)</f>
        <v>420.00000000000006</v>
      </c>
      <c r="E13" s="7">
        <f t="shared" si="1"/>
        <v>357.50000000000006</v>
      </c>
      <c r="F13" s="7">
        <f t="shared" si="2"/>
        <v>267.14479679961539</v>
      </c>
      <c r="G13" s="7">
        <f t="shared" si="3"/>
        <v>-949.50541438522907</v>
      </c>
    </row>
    <row r="14" spans="1:14" x14ac:dyDescent="0.25">
      <c r="A14">
        <f t="shared" si="0"/>
        <v>6</v>
      </c>
      <c r="B14" s="6">
        <f>(1+Discontovoet)^A14</f>
        <v>1.4185191122560006</v>
      </c>
      <c r="C14" s="7">
        <f>Aanschaf*(Onderhoud+A14*OnderhoudTrend)</f>
        <v>67.5</v>
      </c>
      <c r="D14" s="7">
        <f>Productie*(Eprijs+PrijsTrend*A14)</f>
        <v>420.00000000000006</v>
      </c>
      <c r="E14" s="7">
        <f t="shared" si="1"/>
        <v>352.50000000000006</v>
      </c>
      <c r="F14" s="7">
        <f t="shared" si="2"/>
        <v>248.49859050498594</v>
      </c>
      <c r="G14" s="7">
        <f t="shared" si="3"/>
        <v>-701.00682388024313</v>
      </c>
    </row>
    <row r="15" spans="1:14" x14ac:dyDescent="0.25">
      <c r="A15">
        <f t="shared" si="0"/>
        <v>7</v>
      </c>
      <c r="B15" s="6">
        <f>(1+Discontovoet)^A15</f>
        <v>1.5036302589913608</v>
      </c>
      <c r="C15" s="7">
        <f>Aanschaf*(Onderhoud+A15*OnderhoudTrend)</f>
        <v>72.5</v>
      </c>
      <c r="D15" s="7">
        <f>Productie*(Eprijs+PrijsTrend*A15)</f>
        <v>420.00000000000006</v>
      </c>
      <c r="E15" s="7">
        <f t="shared" si="1"/>
        <v>347.50000000000006</v>
      </c>
      <c r="F15" s="7">
        <f t="shared" si="2"/>
        <v>231.1073469837618</v>
      </c>
      <c r="G15" s="7">
        <f t="shared" si="3"/>
        <v>-469.89947689648136</v>
      </c>
    </row>
    <row r="16" spans="1:14" x14ac:dyDescent="0.25">
      <c r="A16">
        <f t="shared" si="0"/>
        <v>8</v>
      </c>
      <c r="B16" s="6">
        <f>(1+Discontovoet)^A16</f>
        <v>1.5938480745308423</v>
      </c>
      <c r="C16" s="7">
        <f>Aanschaf*(Onderhoud+A16*OnderhoudTrend)</f>
        <v>77.5</v>
      </c>
      <c r="D16" s="7">
        <f>Productie*(Eprijs+PrijsTrend*A16)</f>
        <v>420.00000000000006</v>
      </c>
      <c r="E16" s="7">
        <f t="shared" ref="E16:E48" si="4">D16-C16</f>
        <v>342.50000000000006</v>
      </c>
      <c r="F16" s="7">
        <f t="shared" ref="F16:F48" si="5">E16/B16</f>
        <v>214.8887371845756</v>
      </c>
      <c r="G16" s="7">
        <f t="shared" si="3"/>
        <v>-255.01073971190576</v>
      </c>
    </row>
    <row r="17" spans="1:7" x14ac:dyDescent="0.25">
      <c r="A17">
        <f t="shared" si="0"/>
        <v>9</v>
      </c>
      <c r="B17" s="6">
        <f>(1+Discontovoet)^A17</f>
        <v>1.6894789590026928</v>
      </c>
      <c r="C17" s="7">
        <f>Aanschaf*(Onderhoud+A17*OnderhoudTrend)</f>
        <v>82.5</v>
      </c>
      <c r="D17" s="7">
        <f>Productie*(Eprijs+PrijsTrend*A17)</f>
        <v>420.00000000000006</v>
      </c>
      <c r="E17" s="7">
        <f t="shared" si="4"/>
        <v>337.50000000000006</v>
      </c>
      <c r="F17" s="7">
        <f t="shared" si="5"/>
        <v>199.76573144138348</v>
      </c>
      <c r="G17" s="7">
        <f t="shared" si="3"/>
        <v>-55.245008270522277</v>
      </c>
    </row>
    <row r="18" spans="1:7" x14ac:dyDescent="0.25">
      <c r="A18">
        <f t="shared" si="0"/>
        <v>10</v>
      </c>
      <c r="B18" s="6">
        <f>(1+Discontovoet)^A18</f>
        <v>1.7908476965428546</v>
      </c>
      <c r="C18" s="7">
        <f>Aanschaf*(Onderhoud+A18*OnderhoudTrend)</f>
        <v>87.500000000000014</v>
      </c>
      <c r="D18" s="7">
        <f>Productie*(Eprijs+PrijsTrend*A18)</f>
        <v>420.00000000000006</v>
      </c>
      <c r="E18" s="7">
        <f t="shared" si="4"/>
        <v>332.50000000000006</v>
      </c>
      <c r="F18" s="7">
        <f t="shared" si="5"/>
        <v>185.66626332427671</v>
      </c>
      <c r="G18" s="7">
        <f t="shared" si="3"/>
        <v>130.42125505375444</v>
      </c>
    </row>
    <row r="19" spans="1:7" x14ac:dyDescent="0.25">
      <c r="A19">
        <f t="shared" si="0"/>
        <v>11</v>
      </c>
      <c r="B19" s="6">
        <f>(1+Discontovoet)^A19</f>
        <v>1.8982985583354262</v>
      </c>
      <c r="C19" s="7">
        <f>Aanschaf*(Onderhoud+A19*OnderhoudTrend)</f>
        <v>92.5</v>
      </c>
      <c r="D19" s="7">
        <f>Productie*(Eprijs+PrijsTrend*A19)</f>
        <v>420.00000000000006</v>
      </c>
      <c r="E19" s="7">
        <f t="shared" si="4"/>
        <v>327.50000000000006</v>
      </c>
      <c r="F19" s="7">
        <f t="shared" si="5"/>
        <v>172.52291456575577</v>
      </c>
      <c r="G19" s="7">
        <f t="shared" si="3"/>
        <v>302.94416961951021</v>
      </c>
    </row>
    <row r="20" spans="1:7" x14ac:dyDescent="0.25">
      <c r="A20">
        <f t="shared" si="0"/>
        <v>12</v>
      </c>
      <c r="B20" s="6">
        <f>(1+Discontovoet)^A20</f>
        <v>2.0121964718355518</v>
      </c>
      <c r="C20" s="7">
        <f>Aanschaf*(Onderhoud+A20*OnderhoudTrend)</f>
        <v>97.5</v>
      </c>
      <c r="D20" s="7">
        <f>Productie*(Eprijs+PrijsTrend*A20)</f>
        <v>420.00000000000006</v>
      </c>
      <c r="E20" s="7">
        <f t="shared" si="4"/>
        <v>322.50000000000006</v>
      </c>
      <c r="F20" s="7">
        <f t="shared" si="5"/>
        <v>160.27261975358269</v>
      </c>
      <c r="G20" s="7">
        <f t="shared" si="3"/>
        <v>463.21678937309287</v>
      </c>
    </row>
    <row r="21" spans="1:7" x14ac:dyDescent="0.25">
      <c r="A21">
        <f t="shared" si="0"/>
        <v>13</v>
      </c>
      <c r="B21" s="6">
        <f>(1+Discontovoet)^A21</f>
        <v>2.1329282601456852</v>
      </c>
      <c r="C21" s="7">
        <f>Aanschaf*(Onderhoud+A21*OnderhoudTrend)</f>
        <v>102.5</v>
      </c>
      <c r="D21" s="7">
        <f>Productie*(Eprijs+PrijsTrend*A21)</f>
        <v>420.00000000000006</v>
      </c>
      <c r="E21" s="7">
        <f t="shared" si="4"/>
        <v>317.50000000000006</v>
      </c>
      <c r="F21" s="7">
        <f t="shared" si="5"/>
        <v>148.85638956197894</v>
      </c>
      <c r="G21" s="7">
        <f t="shared" si="3"/>
        <v>612.07317893507184</v>
      </c>
    </row>
    <row r="22" spans="1:7" x14ac:dyDescent="0.25">
      <c r="A22">
        <f t="shared" si="0"/>
        <v>14</v>
      </c>
      <c r="B22" s="6">
        <f>(1+Discontovoet)^A22</f>
        <v>2.2609039557544262</v>
      </c>
      <c r="C22" s="7">
        <f>Aanschaf*(Onderhoud+A22*OnderhoudTrend)</f>
        <v>107.49999999999999</v>
      </c>
      <c r="D22" s="7">
        <f>Productie*(Eprijs+PrijsTrend*A22)</f>
        <v>420.00000000000006</v>
      </c>
      <c r="E22" s="7">
        <f t="shared" si="4"/>
        <v>312.50000000000006</v>
      </c>
      <c r="F22" s="7">
        <f t="shared" si="5"/>
        <v>138.2190513686478</v>
      </c>
      <c r="G22" s="7">
        <f t="shared" si="3"/>
        <v>750.29223030371963</v>
      </c>
    </row>
    <row r="23" spans="1:7" x14ac:dyDescent="0.25">
      <c r="A23">
        <f t="shared" si="0"/>
        <v>15</v>
      </c>
      <c r="B23" s="6">
        <f>(1+Discontovoet)^A23</f>
        <v>2.3965581930996924</v>
      </c>
      <c r="C23" s="7">
        <f>Aanschaf*(Onderhoud+A23*OnderhoudTrend)</f>
        <v>112.5</v>
      </c>
      <c r="D23" s="7">
        <f>Productie*(Eprijs+PrijsTrend*A23)</f>
        <v>420.00000000000006</v>
      </c>
      <c r="E23" s="7">
        <f t="shared" si="4"/>
        <v>307.50000000000006</v>
      </c>
      <c r="F23" s="7">
        <f t="shared" si="5"/>
        <v>128.30900617617868</v>
      </c>
      <c r="G23" s="7">
        <f t="shared" si="3"/>
        <v>878.60123647989826</v>
      </c>
    </row>
    <row r="24" spans="1:7" x14ac:dyDescent="0.25">
      <c r="A24">
        <f t="shared" si="0"/>
        <v>16</v>
      </c>
      <c r="B24" s="6">
        <f>(1+Discontovoet)^A24</f>
        <v>2.5403516846856733</v>
      </c>
      <c r="C24" s="7">
        <f>Aanschaf*(Onderhoud+A24*OnderhoudTrend)</f>
        <v>117.5</v>
      </c>
      <c r="D24" s="7">
        <f>Productie*(Eprijs+PrijsTrend*A24)</f>
        <v>420.00000000000006</v>
      </c>
      <c r="E24" s="7">
        <f t="shared" si="4"/>
        <v>302.50000000000006</v>
      </c>
      <c r="F24" s="7">
        <f t="shared" si="5"/>
        <v>119.07800082311417</v>
      </c>
      <c r="G24" s="7">
        <f t="shared" si="3"/>
        <v>997.67923730301243</v>
      </c>
    </row>
    <row r="25" spans="1:7" x14ac:dyDescent="0.25">
      <c r="A25">
        <f t="shared" si="0"/>
        <v>17</v>
      </c>
      <c r="B25" s="6">
        <f>(1+Discontovoet)^A25</f>
        <v>2.692772785766814</v>
      </c>
      <c r="C25" s="7">
        <f>Aanschaf*(Onderhoud+A25*OnderhoudTrend)</f>
        <v>122.5</v>
      </c>
      <c r="D25" s="7">
        <f>Productie*(Eprijs+PrijsTrend*A25)</f>
        <v>420.00000000000006</v>
      </c>
      <c r="E25" s="7">
        <f t="shared" si="4"/>
        <v>297.50000000000006</v>
      </c>
      <c r="F25" s="7">
        <f t="shared" si="5"/>
        <v>110.48091453259461</v>
      </c>
      <c r="G25" s="7">
        <f t="shared" si="3"/>
        <v>1108.1601518356069</v>
      </c>
    </row>
    <row r="26" spans="1:7" x14ac:dyDescent="0.25">
      <c r="A26">
        <f t="shared" si="0"/>
        <v>18</v>
      </c>
      <c r="B26" s="6">
        <f>(1+Discontovoet)^A26</f>
        <v>2.8543391529128228</v>
      </c>
      <c r="C26" s="7">
        <f>Aanschaf*(Onderhoud+A26*OnderhoudTrend)</f>
        <v>127.50000000000001</v>
      </c>
      <c r="D26" s="7">
        <f>Productie*(Eprijs+PrijsTrend*A26)</f>
        <v>420.00000000000006</v>
      </c>
      <c r="E26" s="7">
        <f t="shared" si="4"/>
        <v>292.50000000000006</v>
      </c>
      <c r="F26" s="7">
        <f t="shared" si="5"/>
        <v>102.47555890529229</v>
      </c>
      <c r="G26" s="7">
        <f t="shared" si="3"/>
        <v>1210.6357107408992</v>
      </c>
    </row>
    <row r="27" spans="1:7" x14ac:dyDescent="0.25">
      <c r="A27">
        <f t="shared" si="0"/>
        <v>19</v>
      </c>
      <c r="B27" s="6">
        <f>(1+Discontovoet)^A27</f>
        <v>3.0255995020875925</v>
      </c>
      <c r="C27" s="7">
        <f>Aanschaf*(Onderhoud+A27*OnderhoudTrend)</f>
        <v>132.5</v>
      </c>
      <c r="D27" s="7">
        <f>Productie*(Eprijs+PrijsTrend*A27)</f>
        <v>420.00000000000006</v>
      </c>
      <c r="E27" s="7">
        <f t="shared" si="4"/>
        <v>287.50000000000006</v>
      </c>
      <c r="F27" s="7">
        <f t="shared" si="5"/>
        <v>95.022490518534198</v>
      </c>
      <c r="G27" s="7">
        <f t="shared" si="3"/>
        <v>1305.6582012594333</v>
      </c>
    </row>
    <row r="28" spans="1:7" x14ac:dyDescent="0.25">
      <c r="A28">
        <f t="shared" si="0"/>
        <v>20</v>
      </c>
      <c r="B28" s="6">
        <f>(1+Discontovoet)^A28</f>
        <v>3.207135472212848</v>
      </c>
      <c r="C28" s="7">
        <f>Aanschaf*(Onderhoud+A28*OnderhoudTrend)</f>
        <v>137.5</v>
      </c>
      <c r="D28" s="7">
        <f>Productie*(Eprijs+PrijsTrend*A28)</f>
        <v>420.00000000000006</v>
      </c>
      <c r="E28" s="7">
        <f t="shared" si="4"/>
        <v>282.50000000000006</v>
      </c>
      <c r="F28" s="7">
        <f t="shared" si="5"/>
        <v>88.084835345318822</v>
      </c>
      <c r="G28" s="7">
        <f t="shared" si="3"/>
        <v>1393.7430366047522</v>
      </c>
    </row>
    <row r="29" spans="1:7" x14ac:dyDescent="0.25">
      <c r="A29">
        <f t="shared" si="0"/>
        <v>21</v>
      </c>
      <c r="B29" s="6">
        <f>(1+Discontovoet)^A29</f>
        <v>3.3995636005456196</v>
      </c>
      <c r="C29" s="7">
        <f>Aanschaf*(Onderhoud+A29*OnderhoudTrend)</f>
        <v>142.5</v>
      </c>
      <c r="D29" s="7">
        <f>Productie*(Eprijs+PrijsTrend*A29)</f>
        <v>420.00000000000006</v>
      </c>
      <c r="E29" s="7">
        <f t="shared" si="4"/>
        <v>277.50000000000006</v>
      </c>
      <c r="F29" s="7">
        <f t="shared" si="5"/>
        <v>81.628124255555079</v>
      </c>
      <c r="G29" s="7">
        <f t="shared" si="3"/>
        <v>1475.3711608603073</v>
      </c>
    </row>
    <row r="30" spans="1:7" x14ac:dyDescent="0.25">
      <c r="A30">
        <f t="shared" si="0"/>
        <v>22</v>
      </c>
      <c r="B30" s="6">
        <f>(1+Discontovoet)^A30</f>
        <v>3.6035374165783569</v>
      </c>
      <c r="C30" s="7">
        <f>Aanschaf*(Onderhoud+A30*OnderhoudTrend)</f>
        <v>147.5</v>
      </c>
      <c r="D30" s="7">
        <f>Productie*(Eprijs+PrijsTrend*A30)</f>
        <v>420.00000000000006</v>
      </c>
      <c r="E30" s="7">
        <f t="shared" si="4"/>
        <v>272.50000000000006</v>
      </c>
      <c r="F30" s="7">
        <f t="shared" si="5"/>
        <v>75.620138907491963</v>
      </c>
      <c r="G30" s="7">
        <f t="shared" si="3"/>
        <v>1550.9912997677993</v>
      </c>
    </row>
    <row r="31" spans="1:7" x14ac:dyDescent="0.25">
      <c r="A31">
        <f t="shared" si="0"/>
        <v>23</v>
      </c>
      <c r="B31" s="6">
        <f>(1+Discontovoet)^A31</f>
        <v>3.8197496615730588</v>
      </c>
      <c r="C31" s="7">
        <f>Aanschaf*(Onderhoud+A31*OnderhoudTrend)</f>
        <v>152.5</v>
      </c>
      <c r="D31" s="7">
        <f>Productie*(Eprijs+PrijsTrend*A31)</f>
        <v>420.00000000000006</v>
      </c>
      <c r="E31" s="7">
        <f t="shared" si="4"/>
        <v>267.50000000000006</v>
      </c>
      <c r="F31" s="7">
        <f t="shared" si="5"/>
        <v>70.030767380142279</v>
      </c>
      <c r="G31" s="7">
        <f t="shared" si="3"/>
        <v>1621.0220671479417</v>
      </c>
    </row>
    <row r="32" spans="1:7" x14ac:dyDescent="0.25">
      <c r="A32">
        <f t="shared" si="0"/>
        <v>24</v>
      </c>
      <c r="B32" s="6">
        <f>(1+Discontovoet)^A32</f>
        <v>4.0489346412674418</v>
      </c>
      <c r="C32" s="7">
        <f>Aanschaf*(Onderhoud+A32*OnderhoudTrend)</f>
        <v>157.5</v>
      </c>
      <c r="D32" s="7">
        <f>Productie*(Eprijs+PrijsTrend*A32)</f>
        <v>420.00000000000006</v>
      </c>
      <c r="E32" s="7">
        <f t="shared" si="4"/>
        <v>262.50000000000006</v>
      </c>
      <c r="F32" s="7">
        <f t="shared" si="5"/>
        <v>64.831868937708862</v>
      </c>
      <c r="G32" s="7">
        <f t="shared" si="3"/>
        <v>1685.8539360856505</v>
      </c>
    </row>
    <row r="33" spans="1:7" x14ac:dyDescent="0.25">
      <c r="A33">
        <f t="shared" si="0"/>
        <v>25</v>
      </c>
      <c r="B33" s="6">
        <f>(1+Discontovoet)^A33</f>
        <v>4.2918707197434882</v>
      </c>
      <c r="C33" s="7">
        <f>Aanschaf*(Onderhoud+A33*OnderhoudTrend)</f>
        <v>162.5</v>
      </c>
      <c r="D33" s="7">
        <f>Productie*(Eprijs+PrijsTrend*A33)</f>
        <v>420.00000000000006</v>
      </c>
      <c r="E33" s="7">
        <f t="shared" si="4"/>
        <v>257.50000000000006</v>
      </c>
      <c r="F33" s="7">
        <f t="shared" si="5"/>
        <v>59.997147354753039</v>
      </c>
      <c r="G33" s="7">
        <f t="shared" si="3"/>
        <v>1745.8510834404035</v>
      </c>
    </row>
    <row r="34" spans="1:7" x14ac:dyDescent="0.25">
      <c r="A34">
        <f t="shared" si="0"/>
        <v>26</v>
      </c>
      <c r="B34" s="6">
        <f>(1+Discontovoet)^A34</f>
        <v>4.5493829629280977</v>
      </c>
      <c r="C34" s="7">
        <f>Aanschaf*(Onderhoud+A34*OnderhoudTrend)</f>
        <v>167.5</v>
      </c>
      <c r="D34" s="7">
        <f>Productie*(Eprijs+PrijsTrend*A34)</f>
        <v>420.00000000000006</v>
      </c>
      <c r="E34" s="7">
        <f t="shared" si="4"/>
        <v>252.50000000000006</v>
      </c>
      <c r="F34" s="7">
        <f t="shared" si="5"/>
        <v>55.502032266258077</v>
      </c>
      <c r="G34" s="7">
        <f t="shared" si="3"/>
        <v>1801.3531157066616</v>
      </c>
    </row>
    <row r="35" spans="1:7" x14ac:dyDescent="0.25">
      <c r="A35">
        <f t="shared" si="0"/>
        <v>27</v>
      </c>
      <c r="B35" s="6">
        <f>(1+Discontovoet)^A35</f>
        <v>4.8223459407037845</v>
      </c>
      <c r="C35" s="7">
        <f>Aanschaf*(Onderhoud+A35*OnderhoudTrend)</f>
        <v>172.50000000000003</v>
      </c>
      <c r="D35" s="7">
        <f>Productie*(Eprijs+PrijsTrend*A35)</f>
        <v>420.00000000000006</v>
      </c>
      <c r="E35" s="7">
        <f t="shared" si="4"/>
        <v>247.50000000000003</v>
      </c>
      <c r="F35" s="7">
        <f t="shared" si="5"/>
        <v>51.32356803997336</v>
      </c>
      <c r="G35" s="7">
        <f t="shared" si="3"/>
        <v>1852.676683746635</v>
      </c>
    </row>
    <row r="36" spans="1:7" x14ac:dyDescent="0.25">
      <c r="A36">
        <f t="shared" si="0"/>
        <v>28</v>
      </c>
      <c r="B36" s="6">
        <f>(1+Discontovoet)^A36</f>
        <v>5.1116866971460118</v>
      </c>
      <c r="C36" s="7">
        <f>Aanschaf*(Onderhoud+A36*OnderhoudTrend)</f>
        <v>177.50000000000003</v>
      </c>
      <c r="D36" s="7">
        <f>Productie*(Eprijs+PrijsTrend*A36)</f>
        <v>420.00000000000006</v>
      </c>
      <c r="E36" s="7">
        <f t="shared" si="4"/>
        <v>242.50000000000003</v>
      </c>
      <c r="F36" s="7">
        <f t="shared" si="5"/>
        <v>47.440309699613266</v>
      </c>
      <c r="G36" s="7">
        <f t="shared" si="3"/>
        <v>1900.1169934462482</v>
      </c>
    </row>
    <row r="37" spans="1:7" x14ac:dyDescent="0.25">
      <c r="A37">
        <f t="shared" si="0"/>
        <v>29</v>
      </c>
      <c r="B37" s="6">
        <f>(1+Discontovoet)^A37</f>
        <v>5.4183878989747729</v>
      </c>
      <c r="C37" s="7">
        <f>Aanschaf*(Onderhoud+A37*OnderhoudTrend)</f>
        <v>182.50000000000003</v>
      </c>
      <c r="D37" s="7">
        <f>Productie*(Eprijs+PrijsTrend*A37)</f>
        <v>420.00000000000006</v>
      </c>
      <c r="E37" s="7">
        <f t="shared" si="4"/>
        <v>237.50000000000003</v>
      </c>
      <c r="F37" s="7">
        <f t="shared" si="5"/>
        <v>43.832225456752184</v>
      </c>
      <c r="G37" s="7">
        <f t="shared" si="3"/>
        <v>1943.9492189030004</v>
      </c>
    </row>
    <row r="38" spans="1:7" x14ac:dyDescent="0.25">
      <c r="A38">
        <f t="shared" si="0"/>
        <v>30</v>
      </c>
      <c r="B38" s="6">
        <f>(1+Discontovoet)^A38</f>
        <v>5.7434911729132594</v>
      </c>
      <c r="C38" s="7">
        <f>Aanschaf*(Onderhoud+A38*OnderhoudTrend)</f>
        <v>187.5</v>
      </c>
      <c r="D38" s="7">
        <f>Productie*(Eprijs+PrijsTrend*A38)</f>
        <v>420.00000000000006</v>
      </c>
      <c r="E38" s="7">
        <f t="shared" si="4"/>
        <v>232.50000000000006</v>
      </c>
      <c r="F38" s="7">
        <f t="shared" si="5"/>
        <v>40.480605436722477</v>
      </c>
      <c r="G38" s="7">
        <f t="shared" si="3"/>
        <v>1984.4298243397229</v>
      </c>
    </row>
    <row r="39" spans="1:7" x14ac:dyDescent="0.25">
      <c r="A39">
        <f t="shared" si="0"/>
        <v>31</v>
      </c>
      <c r="B39" s="6">
        <f>(1+Discontovoet)^A39</f>
        <v>6.0881006432880564</v>
      </c>
      <c r="C39" s="7">
        <f>Aanschaf*(Onderhoud+A39*OnderhoudTrend)</f>
        <v>192.5</v>
      </c>
      <c r="D39" s="7">
        <f>Productie*(Eprijs+PrijsTrend*A39)</f>
        <v>420.00000000000006</v>
      </c>
      <c r="E39" s="7">
        <f t="shared" si="4"/>
        <v>227.50000000000006</v>
      </c>
      <c r="F39" s="7">
        <f t="shared" si="5"/>
        <v>37.367976209593678</v>
      </c>
      <c r="G39" s="7">
        <f t="shared" si="3"/>
        <v>2021.7978005493167</v>
      </c>
    </row>
    <row r="40" spans="1:7" x14ac:dyDescent="0.25">
      <c r="A40">
        <f t="shared" si="0"/>
        <v>32</v>
      </c>
      <c r="B40" s="6">
        <f>(1+Discontovoet)^A40</f>
        <v>6.4533866818853385</v>
      </c>
      <c r="C40" s="7">
        <f>Aanschaf*(Onderhoud+A40*OnderhoudTrend)</f>
        <v>197.5</v>
      </c>
      <c r="D40" s="7">
        <f>Productie*(Eprijs+PrijsTrend*A40)</f>
        <v>420.00000000000006</v>
      </c>
      <c r="E40" s="7">
        <f t="shared" si="4"/>
        <v>222.50000000000006</v>
      </c>
      <c r="F40" s="7">
        <f t="shared" si="5"/>
        <v>34.478020761495316</v>
      </c>
      <c r="G40" s="7">
        <f t="shared" si="3"/>
        <v>2056.2758213108118</v>
      </c>
    </row>
    <row r="41" spans="1:7" x14ac:dyDescent="0.25">
      <c r="A41">
        <f t="shared" si="0"/>
        <v>33</v>
      </c>
      <c r="B41" s="6">
        <f>(1+Discontovoet)^A41</f>
        <v>6.8405898827984588</v>
      </c>
      <c r="C41" s="7">
        <f>Aanschaf*(Onderhoud+A41*OnderhoudTrend)</f>
        <v>202.5</v>
      </c>
      <c r="D41" s="7">
        <f>Productie*(Eprijs+PrijsTrend*A41)</f>
        <v>420.00000000000006</v>
      </c>
      <c r="E41" s="7">
        <f t="shared" si="4"/>
        <v>217.50000000000006</v>
      </c>
      <c r="F41" s="7">
        <f t="shared" si="5"/>
        <v>31.795503564236721</v>
      </c>
      <c r="G41" s="7">
        <f t="shared" si="3"/>
        <v>2088.0713248750485</v>
      </c>
    </row>
    <row r="42" spans="1:7" x14ac:dyDescent="0.25">
      <c r="A42">
        <f t="shared" si="0"/>
        <v>34</v>
      </c>
      <c r="B42" s="6">
        <f>(1+Discontovoet)^A42</f>
        <v>7.2510252757663674</v>
      </c>
      <c r="C42" s="7">
        <f>Aanschaf*(Onderhoud+A42*OnderhoudTrend)</f>
        <v>207.5</v>
      </c>
      <c r="D42" s="7">
        <f>Productie*(Eprijs+PrijsTrend*A42)</f>
        <v>420.00000000000006</v>
      </c>
      <c r="E42" s="7">
        <f t="shared" si="4"/>
        <v>212.50000000000006</v>
      </c>
      <c r="F42" s="7">
        <f t="shared" si="5"/>
        <v>29.306200422469324</v>
      </c>
      <c r="G42" s="7">
        <f t="shared" si="3"/>
        <v>2117.3775252975179</v>
      </c>
    </row>
    <row r="43" spans="1:7" x14ac:dyDescent="0.25">
      <c r="A43">
        <f t="shared" si="0"/>
        <v>35</v>
      </c>
      <c r="B43" s="6">
        <f>(1+Discontovoet)^A43</f>
        <v>7.6860867923123504</v>
      </c>
      <c r="C43" s="7">
        <f>Aanschaf*(Onderhoud+A43*OnderhoudTrend)</f>
        <v>212.50000000000003</v>
      </c>
      <c r="D43" s="7">
        <f>Productie*(Eprijs+PrijsTrend*A43)</f>
        <v>420.00000000000006</v>
      </c>
      <c r="E43" s="7">
        <f t="shared" si="4"/>
        <v>207.50000000000003</v>
      </c>
      <c r="F43" s="7">
        <f t="shared" si="5"/>
        <v>26.996832797613244</v>
      </c>
      <c r="G43" s="7">
        <f t="shared" si="3"/>
        <v>2144.3743580951309</v>
      </c>
    </row>
    <row r="44" spans="1:7" x14ac:dyDescent="0.25">
      <c r="A44">
        <f t="shared" si="0"/>
        <v>36</v>
      </c>
      <c r="B44" s="6">
        <f>(1+Discontovoet)^A44</f>
        <v>8.1472519998510915</v>
      </c>
      <c r="C44" s="7">
        <f>Aanschaf*(Onderhoud+A44*OnderhoudTrend)</f>
        <v>217.50000000000003</v>
      </c>
      <c r="D44" s="7">
        <f>Productie*(Eprijs+PrijsTrend*A44)</f>
        <v>420.00000000000006</v>
      </c>
      <c r="E44" s="7">
        <f t="shared" si="4"/>
        <v>202.50000000000003</v>
      </c>
      <c r="F44" s="7">
        <f t="shared" si="5"/>
        <v>24.855006326513671</v>
      </c>
      <c r="G44" s="7">
        <f t="shared" si="3"/>
        <v>2169.2293644216447</v>
      </c>
    </row>
    <row r="45" spans="1:7" x14ac:dyDescent="0.25">
      <c r="A45">
        <f t="shared" si="0"/>
        <v>37</v>
      </c>
      <c r="B45" s="6">
        <f>(1+Discontovoet)^A45</f>
        <v>8.6360871198421574</v>
      </c>
      <c r="C45" s="7">
        <f>Aanschaf*(Onderhoud+A45*OnderhoudTrend)</f>
        <v>222.5</v>
      </c>
      <c r="D45" s="7">
        <f>Productie*(Eprijs+PrijsTrend*A45)</f>
        <v>420.00000000000006</v>
      </c>
      <c r="E45" s="7">
        <f t="shared" si="4"/>
        <v>197.50000000000006</v>
      </c>
      <c r="F45" s="7">
        <f t="shared" si="5"/>
        <v>22.869153270377126</v>
      </c>
      <c r="G45" s="7">
        <f t="shared" si="3"/>
        <v>2192.0985176920217</v>
      </c>
    </row>
    <row r="46" spans="1:7" x14ac:dyDescent="0.25">
      <c r="A46">
        <f t="shared" si="0"/>
        <v>38</v>
      </c>
      <c r="B46" s="6">
        <f>(1+Discontovoet)^A46</f>
        <v>9.1542523470326884</v>
      </c>
      <c r="C46" s="7">
        <f>Aanschaf*(Onderhoud+A46*OnderhoudTrend)</f>
        <v>227.5</v>
      </c>
      <c r="D46" s="7">
        <f>Productie*(Eprijs+PrijsTrend*A46)</f>
        <v>420.00000000000006</v>
      </c>
      <c r="E46" s="7">
        <f t="shared" si="4"/>
        <v>192.50000000000006</v>
      </c>
      <c r="F46" s="7">
        <f t="shared" si="5"/>
        <v>21.028478646035808</v>
      </c>
      <c r="G46" s="7">
        <f t="shared" si="3"/>
        <v>2213.1269963380573</v>
      </c>
    </row>
    <row r="47" spans="1:7" x14ac:dyDescent="0.25">
      <c r="A47">
        <f t="shared" si="0"/>
        <v>39</v>
      </c>
      <c r="B47" s="6">
        <f>(1+Discontovoet)^A47</f>
        <v>9.703507487854651</v>
      </c>
      <c r="C47" s="7">
        <f>Aanschaf*(Onderhoud+A47*OnderhoudTrend)</f>
        <v>232.5</v>
      </c>
      <c r="D47" s="7">
        <f>Productie*(Eprijs+PrijsTrend*A47)</f>
        <v>420.00000000000006</v>
      </c>
      <c r="E47" s="7">
        <f t="shared" si="4"/>
        <v>187.50000000000006</v>
      </c>
      <c r="F47" s="7">
        <f t="shared" si="5"/>
        <v>19.322909807065489</v>
      </c>
      <c r="G47" s="7">
        <f t="shared" si="3"/>
        <v>2232.4499061451229</v>
      </c>
    </row>
    <row r="48" spans="1:7" x14ac:dyDescent="0.25">
      <c r="A48">
        <f t="shared" si="0"/>
        <v>40</v>
      </c>
      <c r="B48" s="6">
        <f>(1+Discontovoet)^A48</f>
        <v>10.285717937125929</v>
      </c>
      <c r="C48" s="7">
        <f>Aanschaf*(Onderhoud+A48*OnderhoudTrend)</f>
        <v>237.5</v>
      </c>
      <c r="D48" s="7">
        <f>Productie*(Eprijs+PrijsTrend*A48)</f>
        <v>420.00000000000006</v>
      </c>
      <c r="E48" s="7">
        <f t="shared" si="4"/>
        <v>182.50000000000006</v>
      </c>
      <c r="F48" s="7">
        <f t="shared" si="5"/>
        <v>17.743049256802276</v>
      </c>
      <c r="G48" s="7">
        <f t="shared" si="3"/>
        <v>2250.1929554019252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B3" sqref="B3"/>
    </sheetView>
  </sheetViews>
  <sheetFormatPr defaultRowHeight="15" x14ac:dyDescent="0.25"/>
  <cols>
    <col min="1" max="1" width="21" customWidth="1"/>
    <col min="2" max="2" width="8.5703125" customWidth="1"/>
  </cols>
  <sheetData>
    <row r="1" spans="1:15" ht="18.75" x14ac:dyDescent="0.3">
      <c r="A1" s="1" t="s">
        <v>18</v>
      </c>
    </row>
    <row r="2" spans="1:15" ht="15.75" thickBot="1" x14ac:dyDescent="0.3">
      <c r="G2" s="17" t="s">
        <v>27</v>
      </c>
      <c r="H2" s="8">
        <v>463.21678937309287</v>
      </c>
    </row>
    <row r="3" spans="1:15" ht="15.75" thickBot="1" x14ac:dyDescent="0.3">
      <c r="A3" t="s">
        <v>20</v>
      </c>
      <c r="B3" s="11">
        <v>0.1</v>
      </c>
    </row>
    <row r="4" spans="1:15" x14ac:dyDescent="0.25">
      <c r="F4" s="16" t="s">
        <v>28</v>
      </c>
      <c r="G4" s="16"/>
      <c r="H4" s="16"/>
      <c r="I4" s="16"/>
      <c r="J4" s="16"/>
      <c r="L4" s="24" t="s">
        <v>29</v>
      </c>
      <c r="M4" s="25"/>
      <c r="N4" s="25"/>
      <c r="O4" s="26"/>
    </row>
    <row r="5" spans="1:15" x14ac:dyDescent="0.25">
      <c r="A5" s="13" t="s">
        <v>26</v>
      </c>
      <c r="B5" s="14">
        <f>-B3</f>
        <v>-0.1</v>
      </c>
      <c r="C5" s="19" t="s">
        <v>30</v>
      </c>
      <c r="D5" s="14">
        <f>B3</f>
        <v>0.1</v>
      </c>
      <c r="F5" s="22">
        <v>-0.2</v>
      </c>
      <c r="G5" s="22">
        <v>-0.1</v>
      </c>
      <c r="H5" s="22" t="s">
        <v>30</v>
      </c>
      <c r="I5" s="23" t="s">
        <v>31</v>
      </c>
      <c r="J5" s="23" t="s">
        <v>32</v>
      </c>
      <c r="L5" s="27">
        <f>F5</f>
        <v>-0.2</v>
      </c>
      <c r="M5" s="28">
        <f>G5</f>
        <v>-0.1</v>
      </c>
      <c r="N5" s="29" t="str">
        <f>I5</f>
        <v>+10%</v>
      </c>
      <c r="O5" s="30" t="str">
        <f>J5</f>
        <v>+20%</v>
      </c>
    </row>
    <row r="6" spans="1:15" x14ac:dyDescent="0.25">
      <c r="A6" s="12" t="s">
        <v>19</v>
      </c>
      <c r="B6">
        <f>C6*(1-Delta)</f>
        <v>2250</v>
      </c>
      <c r="C6">
        <v>2500</v>
      </c>
      <c r="D6">
        <f>C6*(1+Delta)</f>
        <v>2750</v>
      </c>
      <c r="F6" s="7">
        <v>1074.8163224906732</v>
      </c>
      <c r="G6" s="7">
        <v>769.01655593188298</v>
      </c>
      <c r="H6" s="7">
        <f>Basis</f>
        <v>463.21678937309287</v>
      </c>
      <c r="I6" s="7">
        <v>157.41702281430312</v>
      </c>
      <c r="J6" s="7">
        <v>-148.38274374448667</v>
      </c>
      <c r="L6" s="31">
        <f>(F6-Basis)/Basis</f>
        <v>1.3203311001427762</v>
      </c>
      <c r="M6" s="32">
        <f>(G6-Basis)/Basis</f>
        <v>0.660165550071388</v>
      </c>
      <c r="N6" s="32">
        <f>(I6-Basis)/Basis</f>
        <v>-0.66016555007138722</v>
      </c>
      <c r="O6" s="33">
        <f>(J6-Basis)/Basis</f>
        <v>-1.3203311001427744</v>
      </c>
    </row>
    <row r="7" spans="1:15" x14ac:dyDescent="0.25">
      <c r="A7" t="s">
        <v>21</v>
      </c>
      <c r="B7" s="20">
        <f>C7*(1-Delta)</f>
        <v>1.35E-2</v>
      </c>
      <c r="C7" s="20">
        <v>1.4999999999999999E-2</v>
      </c>
      <c r="D7" s="20">
        <f>C7*(1+Delta)</f>
        <v>1.6500000000000001E-2</v>
      </c>
      <c r="F7" s="7">
        <v>526.09561892596787</v>
      </c>
      <c r="G7" s="7">
        <v>494.65620414953094</v>
      </c>
      <c r="H7" s="7">
        <f>Basis</f>
        <v>463.21678937309287</v>
      </c>
      <c r="I7" s="7">
        <v>431.7773745966557</v>
      </c>
      <c r="J7" s="7">
        <v>400.33795982021832</v>
      </c>
      <c r="L7" s="31">
        <f>(F7-Basis)/Basis</f>
        <v>0.13574384822703381</v>
      </c>
      <c r="M7" s="32">
        <f>(G7-Basis)/Basis</f>
        <v>6.7871924113518126E-2</v>
      </c>
      <c r="N7" s="32">
        <f>(I7-Basis)/Basis</f>
        <v>-6.7871924113516169E-2</v>
      </c>
      <c r="O7" s="33">
        <f>(J7-Basis)/Basis</f>
        <v>-0.13574384822703284</v>
      </c>
    </row>
    <row r="8" spans="1:15" x14ac:dyDescent="0.25">
      <c r="A8" t="s">
        <v>22</v>
      </c>
      <c r="B8">
        <f>C8*(1-Delta)</f>
        <v>5400</v>
      </c>
      <c r="C8">
        <v>6000</v>
      </c>
      <c r="D8">
        <f>C8*(1+Delta)</f>
        <v>6600.0000000000009</v>
      </c>
      <c r="F8" s="7">
        <v>-241.02610161910548</v>
      </c>
      <c r="G8" s="7">
        <v>111.09534387699381</v>
      </c>
      <c r="H8" s="7">
        <f>Basis</f>
        <v>463.21678937309287</v>
      </c>
      <c r="I8" s="7">
        <v>815.33823486919277</v>
      </c>
      <c r="J8" s="7">
        <v>1167.4596803652919</v>
      </c>
      <c r="L8" s="31">
        <f>(F8-Basis)/Basis</f>
        <v>-1.5203311001427751</v>
      </c>
      <c r="M8" s="32">
        <f>(G8-Basis)/Basis</f>
        <v>-0.7601655500713872</v>
      </c>
      <c r="N8" s="32">
        <f>(I8-Basis)/Basis</f>
        <v>0.76016555007138908</v>
      </c>
      <c r="O8" s="33">
        <f>(J8-Basis)/Basis</f>
        <v>1.5203311001427764</v>
      </c>
    </row>
    <row r="9" spans="1:15" x14ac:dyDescent="0.25">
      <c r="A9" t="s">
        <v>23</v>
      </c>
      <c r="B9">
        <f>C9*(1-Delta)</f>
        <v>6.3000000000000014E-2</v>
      </c>
      <c r="C9">
        <v>7.0000000000000007E-2</v>
      </c>
      <c r="D9">
        <f>C9*(1+Delta)</f>
        <v>7.7000000000000013E-2</v>
      </c>
      <c r="F9" s="7">
        <v>-241.02610161910582</v>
      </c>
      <c r="G9" s="7">
        <v>111.09534387699355</v>
      </c>
      <c r="H9" s="7">
        <f>Basis</f>
        <v>463.21678937309287</v>
      </c>
      <c r="I9" s="7">
        <v>815.33823486919209</v>
      </c>
      <c r="J9" s="7">
        <v>1167.4596803652919</v>
      </c>
      <c r="L9" s="31">
        <f>(F9-Basis)/Basis</f>
        <v>-1.5203311001427757</v>
      </c>
      <c r="M9" s="32">
        <f>(G9-Basis)/Basis</f>
        <v>-0.76016555007138786</v>
      </c>
      <c r="N9" s="32">
        <f>(I9-Basis)/Basis</f>
        <v>0.76016555007138764</v>
      </c>
      <c r="O9" s="33">
        <f>(J9-Basis)/Basis</f>
        <v>1.5203311001427764</v>
      </c>
    </row>
    <row r="10" spans="1:15" x14ac:dyDescent="0.25">
      <c r="A10" t="s">
        <v>24</v>
      </c>
      <c r="B10">
        <f>-Delta*0.01</f>
        <v>-1E-3</v>
      </c>
      <c r="C10">
        <v>0</v>
      </c>
      <c r="D10">
        <f>Delta*0.01</f>
        <v>1E-3</v>
      </c>
      <c r="F10" s="7">
        <v>-121.43165340336795</v>
      </c>
      <c r="G10" s="7">
        <v>170.89256798486264</v>
      </c>
      <c r="H10" s="7">
        <f>Basis</f>
        <v>463.21678937309287</v>
      </c>
      <c r="I10" s="7">
        <v>755.54101076132406</v>
      </c>
      <c r="J10" s="7">
        <v>1047.8652321495547</v>
      </c>
      <c r="L10" s="31">
        <f>(F10-Basis)/Basis</f>
        <v>-1.2621486444127183</v>
      </c>
      <c r="M10" s="32">
        <f>(G10-Basis)/Basis</f>
        <v>-0.63107432220635873</v>
      </c>
      <c r="N10" s="32">
        <f>(I10-Basis)/Basis</f>
        <v>0.63107432220636084</v>
      </c>
      <c r="O10" s="33">
        <f>(J10-Basis)/Basis</f>
        <v>1.2621486444127206</v>
      </c>
    </row>
    <row r="11" spans="1:15" x14ac:dyDescent="0.25">
      <c r="A11" t="s">
        <v>25</v>
      </c>
      <c r="B11" s="20">
        <f>C11*(1-Delta)</f>
        <v>1.8000000000000002E-3</v>
      </c>
      <c r="C11" s="20">
        <v>2E-3</v>
      </c>
      <c r="D11" s="20">
        <f>C11*(1+Delta)</f>
        <v>2.2000000000000001E-3</v>
      </c>
      <c r="F11" s="7">
        <v>511.93749293779831</v>
      </c>
      <c r="G11" s="7">
        <v>487.57714115544599</v>
      </c>
      <c r="H11" s="7">
        <f>Basis</f>
        <v>463.21678937309287</v>
      </c>
      <c r="I11" s="7">
        <v>438.85643759074077</v>
      </c>
      <c r="J11" s="7">
        <v>414.4960858083881</v>
      </c>
      <c r="L11" s="31">
        <f>(F11-Basis)/Basis</f>
        <v>0.10517905370106068</v>
      </c>
      <c r="M11" s="32">
        <f>(G11-Basis)/Basis</f>
        <v>5.2589526850531199E-2</v>
      </c>
      <c r="N11" s="32">
        <f>(I11-Basis)/Basis</f>
        <v>-5.2589526850528985E-2</v>
      </c>
      <c r="O11" s="33">
        <f>(J11-Basis)/Basis</f>
        <v>-0.10517905370105921</v>
      </c>
    </row>
    <row r="12" spans="1:15" x14ac:dyDescent="0.25">
      <c r="A12" t="s">
        <v>4</v>
      </c>
      <c r="B12">
        <f>C12*(1-Delta)</f>
        <v>5.3999999999999999E-2</v>
      </c>
      <c r="C12">
        <v>0.06</v>
      </c>
      <c r="D12">
        <f>C12*(1+Delta)</f>
        <v>6.6000000000000003E-2</v>
      </c>
      <c r="F12" s="7">
        <v>662.33723296603875</v>
      </c>
      <c r="G12" s="7">
        <v>560.30335028104764</v>
      </c>
      <c r="H12" s="7">
        <f>Basis</f>
        <v>463.21678937309287</v>
      </c>
      <c r="I12" s="7">
        <v>370.78375449604499</v>
      </c>
      <c r="J12" s="7">
        <v>282.73041010841291</v>
      </c>
      <c r="L12" s="31">
        <f>(F12-Basis)/Basis</f>
        <v>0.42986447849273984</v>
      </c>
      <c r="M12" s="32">
        <f>(G12-Basis)/Basis</f>
        <v>0.20959205956103089</v>
      </c>
      <c r="N12" s="32">
        <f>(I12-Basis)/Basis</f>
        <v>-0.19954595126429819</v>
      </c>
      <c r="O12" s="33">
        <f>(J12-Basis)/Basis</f>
        <v>-0.38963695488875982</v>
      </c>
    </row>
    <row r="13" spans="1:15" x14ac:dyDescent="0.25">
      <c r="A13" t="s">
        <v>5</v>
      </c>
      <c r="B13">
        <f>ROUND(C13*(1-Delta),0)</f>
        <v>11</v>
      </c>
      <c r="C13">
        <v>12</v>
      </c>
      <c r="D13">
        <f>ROUND(C13*(1+Delta),0)</f>
        <v>13</v>
      </c>
      <c r="F13" s="7">
        <v>130.42125505375444</v>
      </c>
      <c r="G13" s="7">
        <v>302.94416961951021</v>
      </c>
      <c r="H13" s="7">
        <f>Basis</f>
        <v>463.21678937309287</v>
      </c>
      <c r="I13" s="7">
        <v>612.07317893507184</v>
      </c>
      <c r="J13" s="7">
        <v>750.29223030371963</v>
      </c>
      <c r="L13" s="34">
        <f>(F13-Basis)/Basis</f>
        <v>-0.71844445614705899</v>
      </c>
      <c r="M13" s="35">
        <f>(G13-Basis)/Basis</f>
        <v>-0.34599915942272302</v>
      </c>
      <c r="N13" s="35">
        <f>(I13-Basis)/Basis</f>
        <v>0.32135361449967703</v>
      </c>
      <c r="O13" s="36">
        <f>(J13-Basis)/Basis</f>
        <v>0.61974316889322645</v>
      </c>
    </row>
    <row r="15" spans="1:15" x14ac:dyDescent="0.25">
      <c r="A15" s="2" t="s">
        <v>34</v>
      </c>
    </row>
    <row r="16" spans="1:15" x14ac:dyDescent="0.25">
      <c r="A16" s="2" t="s">
        <v>35</v>
      </c>
      <c r="G16" s="15"/>
    </row>
    <row r="17" spans="7:7" x14ac:dyDescent="0.25">
      <c r="G17" s="15"/>
    </row>
  </sheetData>
  <mergeCells count="2">
    <mergeCell ref="L4:O4"/>
    <mergeCell ref="F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Model</vt:lpstr>
      <vt:lpstr>Gevoeligheidsanalyse</vt:lpstr>
      <vt:lpstr>Aanschaf</vt:lpstr>
      <vt:lpstr>Basis</vt:lpstr>
      <vt:lpstr>Delta</vt:lpstr>
      <vt:lpstr>Discontovoet</vt:lpstr>
      <vt:lpstr>Eprijs</vt:lpstr>
      <vt:lpstr>Onderhoud</vt:lpstr>
      <vt:lpstr>OnderhoudTrend</vt:lpstr>
      <vt:lpstr>PrijsTrend</vt:lpstr>
      <vt:lpstr>Productie</vt:lpstr>
      <vt:lpstr>Termijn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Pieter</cp:lastModifiedBy>
  <dcterms:created xsi:type="dcterms:W3CDTF">2013-09-29T19:34:13Z</dcterms:created>
  <dcterms:modified xsi:type="dcterms:W3CDTF">2013-10-01T07:43:56Z</dcterms:modified>
</cp:coreProperties>
</file>